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rkdhs.sharepoint.com/sites/dhs-conrev/DMS/710-25-049 Medical Transportation/Bidder's Library/"/>
    </mc:Choice>
  </mc:AlternateContent>
  <xr:revisionPtr revIDLastSave="4" documentId="8_{9C383841-7F75-4603-B90E-841586010512}" xr6:coauthVersionLast="47" xr6:coauthVersionMax="47" xr10:uidLastSave="{96376A76-DB98-4517-9DDC-45833286C7F7}"/>
  <bookViews>
    <workbookView xWindow="-23148" yWindow="-108" windowWidth="23256" windowHeight="12576" xr2:uid="{D6439198-F697-497A-BD3F-707C2E077C7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V28" i="1"/>
  <c r="T28" i="1"/>
  <c r="S28" i="1"/>
  <c r="Q28" i="1"/>
  <c r="P28" i="1"/>
  <c r="K28" i="1"/>
  <c r="J28" i="1"/>
  <c r="H28" i="1"/>
  <c r="G28" i="1"/>
  <c r="E28" i="1"/>
  <c r="D28" i="1"/>
  <c r="W25" i="1"/>
  <c r="V25" i="1"/>
  <c r="T25" i="1"/>
  <c r="S25" i="1"/>
  <c r="Q25" i="1"/>
  <c r="P25" i="1"/>
  <c r="N25" i="1"/>
  <c r="M25" i="1"/>
  <c r="K25" i="1"/>
  <c r="J25" i="1"/>
  <c r="H25" i="1"/>
  <c r="G25" i="1"/>
  <c r="E25" i="1"/>
  <c r="D25" i="1"/>
  <c r="W24" i="1"/>
  <c r="V24" i="1"/>
  <c r="Q24" i="1"/>
  <c r="P24" i="1"/>
  <c r="H24" i="1"/>
  <c r="G24" i="1"/>
  <c r="E24" i="1"/>
  <c r="D24" i="1"/>
  <c r="W23" i="1"/>
  <c r="V23" i="1"/>
  <c r="Q23" i="1"/>
  <c r="P23" i="1"/>
  <c r="N23" i="1"/>
  <c r="M23" i="1"/>
  <c r="K23" i="1"/>
  <c r="J23" i="1"/>
  <c r="H23" i="1"/>
  <c r="G23" i="1"/>
  <c r="E23" i="1"/>
  <c r="D23" i="1"/>
  <c r="AI22" i="1"/>
  <c r="AH22" i="1"/>
  <c r="W22" i="1"/>
  <c r="V22" i="1"/>
  <c r="N22" i="1"/>
  <c r="M22" i="1"/>
  <c r="K22" i="1"/>
  <c r="J22" i="1"/>
  <c r="H22" i="1"/>
  <c r="G22" i="1"/>
  <c r="E22" i="1"/>
  <c r="D22" i="1"/>
  <c r="AL20" i="1"/>
  <c r="AK20" i="1"/>
  <c r="AI20" i="1"/>
  <c r="AF20" i="1"/>
  <c r="AE20" i="1"/>
  <c r="AC20" i="1"/>
  <c r="AB20" i="1"/>
  <c r="Z20" i="1"/>
  <c r="Y20" i="1"/>
  <c r="W20" i="1"/>
  <c r="V20" i="1"/>
  <c r="T20" i="1"/>
  <c r="S20" i="1"/>
  <c r="Q20" i="1"/>
  <c r="P20" i="1"/>
  <c r="N20" i="1"/>
  <c r="M20" i="1"/>
  <c r="K20" i="1"/>
  <c r="J20" i="1"/>
  <c r="AL17" i="1"/>
  <c r="AK17" i="1"/>
  <c r="AI17" i="1"/>
  <c r="AF17" i="1"/>
  <c r="AE17" i="1"/>
  <c r="AC17" i="1"/>
  <c r="AB17" i="1"/>
  <c r="Z17" i="1"/>
  <c r="Y17" i="1"/>
  <c r="W17" i="1"/>
  <c r="V17" i="1"/>
  <c r="T17" i="1"/>
  <c r="S17" i="1"/>
  <c r="Q17" i="1"/>
  <c r="P17" i="1"/>
  <c r="K17" i="1"/>
  <c r="J17" i="1"/>
  <c r="AL16" i="1"/>
  <c r="AK16" i="1"/>
  <c r="AI16" i="1"/>
  <c r="AF16" i="1"/>
  <c r="AC16" i="1"/>
  <c r="AB16" i="1"/>
  <c r="Z16" i="1"/>
  <c r="Y16" i="1"/>
  <c r="W16" i="1"/>
  <c r="V16" i="1"/>
  <c r="N16" i="1"/>
  <c r="M16" i="1"/>
  <c r="K16" i="1"/>
  <c r="J16" i="1"/>
  <c r="AL15" i="1"/>
  <c r="AK15" i="1"/>
  <c r="AI15" i="1"/>
  <c r="AF15" i="1"/>
  <c r="AE15" i="1"/>
  <c r="AC15" i="1"/>
  <c r="AB15" i="1"/>
  <c r="Z15" i="1"/>
  <c r="Y15" i="1"/>
  <c r="W15" i="1"/>
  <c r="V15" i="1"/>
  <c r="T15" i="1"/>
  <c r="S15" i="1"/>
  <c r="N15" i="1"/>
  <c r="M15" i="1"/>
  <c r="K15" i="1"/>
  <c r="J15" i="1"/>
  <c r="AI14" i="1"/>
  <c r="AF14" i="1"/>
  <c r="AC14" i="1"/>
  <c r="AB14" i="1"/>
  <c r="Z14" i="1"/>
  <c r="Y14" i="1"/>
  <c r="W14" i="1"/>
  <c r="V14" i="1"/>
  <c r="T14" i="1"/>
  <c r="S14" i="1"/>
  <c r="Q14" i="1"/>
  <c r="P14" i="1"/>
  <c r="N14" i="1"/>
  <c r="M14" i="1"/>
  <c r="K14" i="1"/>
  <c r="J14" i="1"/>
  <c r="AC27" i="1" l="1"/>
  <c r="AB27" i="1"/>
  <c r="AF11" i="1"/>
  <c r="AC11" i="1"/>
  <c r="AB11" i="1"/>
  <c r="Z11" i="1"/>
  <c r="AL26" i="1"/>
  <c r="AK26" i="1"/>
  <c r="AF10" i="1"/>
  <c r="AE10" i="1"/>
  <c r="AC10" i="1"/>
  <c r="AB10" i="1"/>
  <c r="Z10" i="1"/>
  <c r="Y10" i="1"/>
  <c r="T10" i="1"/>
  <c r="S10" i="1"/>
  <c r="Q10" i="1"/>
  <c r="P10" i="1"/>
  <c r="N10" i="1"/>
  <c r="M10" i="1"/>
  <c r="K10" i="1"/>
  <c r="J10" i="1"/>
  <c r="H10" i="1"/>
  <c r="G10" i="1"/>
  <c r="E10" i="1"/>
  <c r="D10" i="1"/>
</calcChain>
</file>

<file path=xl/sharedStrings.xml><?xml version="1.0" encoding="utf-8"?>
<sst xmlns="http://schemas.openxmlformats.org/spreadsheetml/2006/main" count="59" uniqueCount="23">
  <si>
    <t>DTT Utilization</t>
  </si>
  <si>
    <t>2022-2024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</si>
  <si>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</si>
  <si>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</si>
  <si>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</si>
  <si>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</si>
  <si>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</si>
  <si>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</si>
  <si>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</si>
  <si>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</si>
  <si>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</si>
  <si>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</si>
  <si>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</si>
  <si>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</si>
  <si>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Trips</t>
  </si>
  <si>
    <t>Mileage</t>
  </si>
  <si>
    <t>Region A</t>
  </si>
  <si>
    <t>Region B</t>
  </si>
  <si>
    <t>Region C</t>
  </si>
  <si>
    <t>Region D</t>
  </si>
  <si>
    <t>Region E</t>
  </si>
  <si>
    <t>Region F</t>
  </si>
  <si>
    <t>Region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</si>
</sst>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ABFC-8D55-4ECB-9B9D-317BC52BA012}">
  <dimension ref="B2:AN30"/>
  <sheetViews>
    <sheetView tabSelected="1" workbookViewId="0">
      <selection activeCell="A5" sqref="A5:XFD12"/>
    </sheetView>
  </sheetViews>
  <sheetFormatPr defaultRowHeight="14.4" x14ac:dyDescent="0.3"/>
  <cols>
    <col min="1" max="1" width="2.6640625" customWidth="1"/>
    <col min="2" max="2" width="14.109375" bestFit="1" customWidth="1"/>
    <col min="3" max="3" width="1.5546875" customWidth="1"/>
    <col min="4" max="4" width="10.5546875" bestFit="1" customWidth="1"/>
    <col min="5" max="5" width="11.5546875" bestFit="1" customWidth="1"/>
    <col min="6" max="6" width="0.88671875" customWidth="1"/>
    <col min="7" max="7" width="10.5546875" bestFit="1" customWidth="1"/>
    <col min="8" max="8" width="11.5546875" bestFit="1" customWidth="1"/>
    <col min="9" max="9" width="0.88671875" customWidth="1"/>
    <col min="10" max="10" width="10.5546875" bestFit="1" customWidth="1"/>
    <col min="11" max="11" width="11.5546875" bestFit="1" customWidth="1"/>
    <col min="12" max="12" width="0.88671875" customWidth="1"/>
    <col min="13" max="13" width="10.5546875" bestFit="1" customWidth="1"/>
    <col min="14" max="14" width="11.5546875" bestFit="1" customWidth="1"/>
    <col min="15" max="15" width="0.88671875" customWidth="1"/>
    <col min="16" max="16" width="10.5546875" bestFit="1" customWidth="1"/>
    <col min="17" max="17" width="11.5546875" bestFit="1" customWidth="1"/>
    <col min="18" max="18" width="0.88671875" customWidth="1"/>
    <col min="19" max="19" width="10.5546875" bestFit="1" customWidth="1"/>
    <col min="20" max="20" width="11.5546875" bestFit="1" customWidth="1"/>
    <col min="21" max="21" width="0.88671875" customWidth="1"/>
    <col min="22" max="22" width="10.5546875" bestFit="1" customWidth="1"/>
    <col min="23" max="23" width="11.5546875" bestFit="1" customWidth="1"/>
    <col min="24" max="24" width="0.88671875" customWidth="1"/>
    <col min="25" max="25" width="10.5546875" bestFit="1" customWidth="1"/>
    <col min="26" max="26" width="11.5546875" bestFit="1" customWidth="1"/>
    <col min="27" max="27" width="0.88671875" customWidth="1"/>
    <col min="28" max="28" width="10.5546875" bestFit="1" customWidth="1"/>
    <col min="29" max="29" width="11.5546875" bestFit="1" customWidth="1"/>
    <col min="30" max="30" width="0.88671875" customWidth="1"/>
    <col min="31" max="31" width="10.5546875" bestFit="1" customWidth="1"/>
    <col min="32" max="32" width="11.5546875" bestFit="1" customWidth="1"/>
    <col min="33" max="33" width="0.88671875" customWidth="1"/>
    <col min="34" max="34" width="10.5546875" bestFit="1" customWidth="1"/>
    <col min="35" max="35" width="11.5546875" bestFit="1" customWidth="1"/>
    <col min="36" max="36" width="0.88671875" customWidth="1"/>
    <col min="37" max="37" width="10.5546875" bestFit="1" customWidth="1"/>
    <col min="38" max="38" width="11.5546875" bestFit="1" customWidth="1"/>
    <col min="39" max="39" width="1.6640625" customWidth="1"/>
    <col min="40" max="40" width="5.6640625" customWidth="1"/>
  </cols>
  <sheetData>
    <row r="2" spans="2:40" x14ac:dyDescent="0.3">
      <c r="B2" s="1" t="s">
        <v>0</v>
      </c>
    </row>
    <row r="3" spans="2:40" x14ac:dyDescent="0.3">
      <c r="B3" s="1" t="s">
        <v>1</v>
      </c>
      <c r="D3" s="11" t="s">
        <v>2</v>
      </c>
      <c r="E3" s="11"/>
      <c r="F3" s="2"/>
      <c r="G3" s="11" t="s">
        <v>3</v>
      </c>
      <c r="H3" s="11"/>
      <c r="I3" s="2"/>
      <c r="J3" s="11" t="s">
        <v>4</v>
      </c>
      <c r="K3" s="11"/>
      <c r="L3" s="2"/>
      <c r="M3" s="11" t="s">
        <v>5</v>
      </c>
      <c r="N3" s="11"/>
      <c r="O3" s="2"/>
      <c r="P3" s="11" t="s">
        <v>6</v>
      </c>
      <c r="Q3" s="11"/>
      <c r="R3" s="2"/>
      <c r="S3" s="11" t="s">
        <v>7</v>
      </c>
      <c r="T3" s="11"/>
      <c r="U3" s="3"/>
      <c r="V3" s="11" t="s">
        <v>8</v>
      </c>
      <c r="W3" s="11"/>
      <c r="X3" s="3"/>
      <c r="Y3" s="11" t="s">
        <v>9</v>
      </c>
      <c r="Z3" s="11"/>
      <c r="AA3" s="3"/>
      <c r="AB3" s="11" t="s">
        <v>10</v>
      </c>
      <c r="AC3" s="11"/>
      <c r="AD3" s="3"/>
      <c r="AE3" s="11" t="s">
        <v>11</v>
      </c>
      <c r="AF3" s="11"/>
      <c r="AG3" s="3"/>
      <c r="AH3" s="11" t="s">
        <v>12</v>
      </c>
      <c r="AI3" s="11"/>
      <c r="AJ3" s="2"/>
      <c r="AK3" s="11" t="s">
        <v>13</v>
      </c>
      <c r="AL3" s="11"/>
    </row>
    <row r="4" spans="2:40" s="4" customFormat="1" x14ac:dyDescent="0.3">
      <c r="D4" s="5" t="s">
        <v>14</v>
      </c>
      <c r="E4" s="5" t="s">
        <v>15</v>
      </c>
      <c r="F4" s="5"/>
      <c r="G4" s="5" t="s">
        <v>14</v>
      </c>
      <c r="H4" s="5" t="s">
        <v>15</v>
      </c>
      <c r="I4" s="5"/>
      <c r="J4" s="5" t="s">
        <v>14</v>
      </c>
      <c r="K4" s="5" t="s">
        <v>15</v>
      </c>
      <c r="L4" s="5"/>
      <c r="M4" s="5" t="s">
        <v>14</v>
      </c>
      <c r="N4" s="5" t="s">
        <v>15</v>
      </c>
      <c r="O4" s="5"/>
      <c r="P4" s="5" t="s">
        <v>14</v>
      </c>
      <c r="Q4" s="5" t="s">
        <v>15</v>
      </c>
      <c r="R4" s="5"/>
      <c r="S4" s="5" t="s">
        <v>14</v>
      </c>
      <c r="T4" s="5" t="s">
        <v>15</v>
      </c>
      <c r="U4" s="5"/>
      <c r="V4" s="5" t="s">
        <v>14</v>
      </c>
      <c r="W4" s="5" t="s">
        <v>15</v>
      </c>
      <c r="X4" s="5"/>
      <c r="Y4" s="5" t="s">
        <v>14</v>
      </c>
      <c r="Z4" s="5" t="s">
        <v>15</v>
      </c>
      <c r="AA4" s="5"/>
      <c r="AB4" s="5" t="s">
        <v>14</v>
      </c>
      <c r="AC4" s="5" t="s">
        <v>15</v>
      </c>
      <c r="AD4" s="5"/>
      <c r="AE4" s="5" t="s">
        <v>14</v>
      </c>
      <c r="AF4" s="5" t="s">
        <v>15</v>
      </c>
      <c r="AG4" s="5"/>
      <c r="AH4" s="5" t="s">
        <v>14</v>
      </c>
      <c r="AI4" s="5" t="s">
        <v>15</v>
      </c>
      <c r="AJ4" s="5"/>
      <c r="AK4" s="5" t="s">
        <v>14</v>
      </c>
      <c r="AL4" s="5" t="s">
        <v>15</v>
      </c>
      <c r="AM4" s="5"/>
      <c r="AN4" s="5"/>
    </row>
    <row r="5" spans="2:40" x14ac:dyDescent="0.3">
      <c r="B5" s="10">
        <v>2022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2:40" x14ac:dyDescent="0.3">
      <c r="B6" t="s">
        <v>16</v>
      </c>
      <c r="D6" s="7">
        <v>3052</v>
      </c>
      <c r="E6" s="7">
        <v>34662.32</v>
      </c>
      <c r="F6" s="7"/>
      <c r="G6" s="7">
        <v>3370</v>
      </c>
      <c r="H6" s="7">
        <v>38138.550000000003</v>
      </c>
      <c r="I6" s="7"/>
      <c r="J6" s="7">
        <v>3812</v>
      </c>
      <c r="K6" s="7">
        <v>41862.47</v>
      </c>
      <c r="L6" s="7"/>
      <c r="M6" s="7">
        <v>5456</v>
      </c>
      <c r="N6" s="7">
        <v>61449.69</v>
      </c>
      <c r="O6" s="7"/>
      <c r="P6" s="7">
        <v>5322</v>
      </c>
      <c r="Q6" s="7">
        <v>57948.76</v>
      </c>
      <c r="R6" s="7"/>
      <c r="S6" s="9">
        <v>4684</v>
      </c>
      <c r="T6" s="9">
        <v>49831.42</v>
      </c>
      <c r="U6" s="9"/>
      <c r="V6" s="9">
        <v>4573</v>
      </c>
      <c r="W6" s="9">
        <v>53526.1</v>
      </c>
      <c r="X6" s="9"/>
      <c r="Y6" s="9">
        <v>5466</v>
      </c>
      <c r="Z6" s="9">
        <v>60286.29</v>
      </c>
      <c r="AA6" s="9"/>
      <c r="AB6" s="9">
        <v>5235</v>
      </c>
      <c r="AC6" s="9">
        <v>57813.83</v>
      </c>
      <c r="AD6" s="9"/>
      <c r="AE6" s="9">
        <v>3064</v>
      </c>
      <c r="AF6" s="9">
        <v>31406.970000000128</v>
      </c>
      <c r="AG6" s="9"/>
      <c r="AH6" s="7">
        <v>3228</v>
      </c>
      <c r="AI6" s="7">
        <v>35089.120000000003</v>
      </c>
      <c r="AJ6" s="9"/>
      <c r="AK6" s="7">
        <v>4676</v>
      </c>
      <c r="AL6" s="7">
        <v>50720.58</v>
      </c>
      <c r="AM6" s="6"/>
      <c r="AN6" s="6"/>
    </row>
    <row r="7" spans="2:40" x14ac:dyDescent="0.3">
      <c r="B7" t="s">
        <v>17</v>
      </c>
      <c r="D7" s="7">
        <v>570</v>
      </c>
      <c r="E7" s="7">
        <v>10480.14</v>
      </c>
      <c r="F7" s="7"/>
      <c r="G7" s="7">
        <v>1620</v>
      </c>
      <c r="H7" s="7">
        <v>23606.42</v>
      </c>
      <c r="I7" s="7"/>
      <c r="J7" s="7">
        <v>1917</v>
      </c>
      <c r="K7" s="7">
        <v>29128.11</v>
      </c>
      <c r="L7" s="7"/>
      <c r="M7" s="7">
        <v>2651</v>
      </c>
      <c r="N7" s="7">
        <v>39759.199999999997</v>
      </c>
      <c r="O7" s="7"/>
      <c r="P7" s="7">
        <v>3599</v>
      </c>
      <c r="Q7" s="7">
        <v>47078.14</v>
      </c>
      <c r="R7" s="7"/>
      <c r="S7" s="9">
        <v>2336</v>
      </c>
      <c r="T7" s="9">
        <v>31324.57</v>
      </c>
      <c r="U7" s="9"/>
      <c r="V7" s="9">
        <v>876</v>
      </c>
      <c r="W7" s="9">
        <v>19266.93</v>
      </c>
      <c r="X7" s="9"/>
      <c r="Y7" s="9">
        <v>2095</v>
      </c>
      <c r="Z7" s="9">
        <v>31960.36</v>
      </c>
      <c r="AA7" s="9"/>
      <c r="AB7" s="9">
        <v>3780</v>
      </c>
      <c r="AC7" s="9">
        <v>54185.27</v>
      </c>
      <c r="AD7" s="9"/>
      <c r="AE7" s="9">
        <v>2802</v>
      </c>
      <c r="AF7" s="9">
        <v>40015.46999999979</v>
      </c>
      <c r="AG7" s="9"/>
      <c r="AH7" s="7">
        <v>2958</v>
      </c>
      <c r="AI7" s="7">
        <v>38651.550000000003</v>
      </c>
      <c r="AJ7" s="9"/>
      <c r="AK7" s="7">
        <v>3021</v>
      </c>
      <c r="AL7" s="7">
        <v>80525.759999999995</v>
      </c>
      <c r="AM7" s="6"/>
      <c r="AN7" s="6"/>
    </row>
    <row r="8" spans="2:40" x14ac:dyDescent="0.3">
      <c r="B8" t="s">
        <v>18</v>
      </c>
      <c r="D8" s="7">
        <v>1255</v>
      </c>
      <c r="E8" s="7">
        <v>11539.55</v>
      </c>
      <c r="F8" s="7"/>
      <c r="G8" s="7">
        <v>1244</v>
      </c>
      <c r="H8" s="7">
        <v>13010.29</v>
      </c>
      <c r="I8" s="7"/>
      <c r="J8" s="7">
        <v>1710</v>
      </c>
      <c r="K8" s="7">
        <v>15479.84</v>
      </c>
      <c r="L8" s="7"/>
      <c r="M8" s="7">
        <v>1712</v>
      </c>
      <c r="N8" s="7">
        <v>15030.28</v>
      </c>
      <c r="O8" s="7"/>
      <c r="P8" s="7">
        <v>2228</v>
      </c>
      <c r="Q8" s="7">
        <v>23415.05</v>
      </c>
      <c r="R8" s="7"/>
      <c r="S8" s="9">
        <v>2493</v>
      </c>
      <c r="T8" s="9">
        <v>28289.93</v>
      </c>
      <c r="U8" s="9"/>
      <c r="V8" s="9">
        <v>2259</v>
      </c>
      <c r="W8" s="9">
        <v>20042.009999999998</v>
      </c>
      <c r="X8" s="9"/>
      <c r="Y8" s="9">
        <v>3577</v>
      </c>
      <c r="Z8" s="9">
        <v>30867.23</v>
      </c>
      <c r="AA8" s="9"/>
      <c r="AB8" s="9">
        <v>4187</v>
      </c>
      <c r="AC8" s="9">
        <v>42123.83</v>
      </c>
      <c r="AD8" s="9"/>
      <c r="AE8" s="9">
        <v>2453</v>
      </c>
      <c r="AF8" s="9">
        <v>18237.330000000031</v>
      </c>
      <c r="AG8" s="9"/>
      <c r="AH8" s="7">
        <v>23202</v>
      </c>
      <c r="AI8" s="7">
        <v>16860.89</v>
      </c>
      <c r="AJ8" s="9"/>
      <c r="AK8" s="7">
        <v>3970</v>
      </c>
      <c r="AL8" s="7">
        <v>30599.84</v>
      </c>
      <c r="AM8" s="6"/>
      <c r="AN8" s="6"/>
    </row>
    <row r="9" spans="2:40" x14ac:dyDescent="0.3">
      <c r="B9" t="s">
        <v>19</v>
      </c>
      <c r="D9" s="7">
        <v>1625</v>
      </c>
      <c r="E9" s="7">
        <v>18673.22</v>
      </c>
      <c r="F9" s="7"/>
      <c r="G9" s="7">
        <v>1768</v>
      </c>
      <c r="H9" s="7">
        <v>18733.89</v>
      </c>
      <c r="I9" s="7"/>
      <c r="J9" s="7">
        <v>2606</v>
      </c>
      <c r="K9" s="7">
        <v>27081.040000000001</v>
      </c>
      <c r="L9" s="7"/>
      <c r="M9" s="7">
        <v>3319</v>
      </c>
      <c r="N9" s="7">
        <v>35927.72</v>
      </c>
      <c r="O9" s="7"/>
      <c r="P9" s="7">
        <v>3018</v>
      </c>
      <c r="Q9" s="7">
        <v>36448.519999999997</v>
      </c>
      <c r="R9" s="7"/>
      <c r="S9" s="7">
        <v>2654</v>
      </c>
      <c r="T9" s="7">
        <v>32233.59</v>
      </c>
      <c r="U9" s="7"/>
      <c r="V9" s="7">
        <v>2006</v>
      </c>
      <c r="W9" s="7">
        <v>27479.75</v>
      </c>
      <c r="X9" s="7"/>
      <c r="Y9" s="7">
        <v>1928</v>
      </c>
      <c r="Z9" s="7">
        <v>25857.5</v>
      </c>
      <c r="AA9" s="7"/>
      <c r="AB9" s="7">
        <v>3869</v>
      </c>
      <c r="AC9" s="7">
        <v>50758.13</v>
      </c>
      <c r="AD9" s="7"/>
      <c r="AE9" s="7">
        <v>3246</v>
      </c>
      <c r="AF9" s="7">
        <v>46366.810000000012</v>
      </c>
      <c r="AG9" s="7"/>
      <c r="AH9" s="7">
        <v>3705</v>
      </c>
      <c r="AI9" s="7">
        <v>50233.4</v>
      </c>
      <c r="AJ9" s="7"/>
      <c r="AK9" s="7">
        <v>4207</v>
      </c>
      <c r="AL9" s="7">
        <v>55464.53</v>
      </c>
      <c r="AM9" s="6"/>
      <c r="AN9" s="6"/>
    </row>
    <row r="10" spans="2:40" x14ac:dyDescent="0.3">
      <c r="B10" t="s">
        <v>20</v>
      </c>
      <c r="D10" s="7">
        <f>12493+25</f>
        <v>12518</v>
      </c>
      <c r="E10" s="7">
        <f>126265.95+837.44</f>
        <v>127103.39</v>
      </c>
      <c r="G10" s="7">
        <f>13297+23+13</f>
        <v>13333</v>
      </c>
      <c r="H10" s="7">
        <f>136403.33+807.73+151.26</f>
        <v>137362.32</v>
      </c>
      <c r="J10" s="7">
        <f>17579+36</f>
        <v>17615</v>
      </c>
      <c r="K10" s="7">
        <f>183410.1+1345.41</f>
        <v>184755.51</v>
      </c>
      <c r="M10" s="7">
        <f>25+16993+24</f>
        <v>17042</v>
      </c>
      <c r="N10" s="7">
        <f>441.75+175058.23+679.46</f>
        <v>176179.44</v>
      </c>
      <c r="P10" s="7">
        <f>18457+67+59</f>
        <v>18583</v>
      </c>
      <c r="Q10" s="7">
        <f>187641.08+1008.55+583.48</f>
        <v>189233.11</v>
      </c>
      <c r="S10" s="7">
        <f>17231+84</f>
        <v>17315</v>
      </c>
      <c r="T10" s="7">
        <f>176755.99+916.66</f>
        <v>177672.65</v>
      </c>
      <c r="V10" s="7">
        <v>14330</v>
      </c>
      <c r="W10" s="7">
        <v>146509.57999999999</v>
      </c>
      <c r="Y10" s="7">
        <f>17673+74</f>
        <v>17747</v>
      </c>
      <c r="Z10" s="7">
        <f>184948.08+1284.1</f>
        <v>186232.18</v>
      </c>
      <c r="AB10" s="7">
        <f>16867+84</f>
        <v>16951</v>
      </c>
      <c r="AC10" s="7">
        <f>176099.06+1445.86</f>
        <v>177544.91999999998</v>
      </c>
      <c r="AE10" s="8">
        <f>16819+86</f>
        <v>16905</v>
      </c>
      <c r="AF10" s="8">
        <f>171897.27+1503.97</f>
        <v>173401.24</v>
      </c>
      <c r="AH10" s="7">
        <v>15003</v>
      </c>
      <c r="AI10" s="7">
        <v>153572.51</v>
      </c>
      <c r="AK10" s="7">
        <v>12839</v>
      </c>
      <c r="AL10" s="7">
        <v>132372.67000000001</v>
      </c>
      <c r="AM10" s="7"/>
      <c r="AN10" s="7"/>
    </row>
    <row r="11" spans="2:40" x14ac:dyDescent="0.3">
      <c r="B11" t="s">
        <v>21</v>
      </c>
      <c r="D11" s="7">
        <v>863</v>
      </c>
      <c r="E11" s="7">
        <v>16729.12</v>
      </c>
      <c r="G11" s="7">
        <v>958</v>
      </c>
      <c r="H11" s="7">
        <v>19477.78</v>
      </c>
      <c r="J11" s="7">
        <v>1255</v>
      </c>
      <c r="K11" s="7">
        <v>27653.599999999999</v>
      </c>
      <c r="M11" s="7">
        <v>1344</v>
      </c>
      <c r="N11" s="7">
        <v>26671.09</v>
      </c>
      <c r="P11" s="7">
        <v>1280</v>
      </c>
      <c r="Q11" s="7">
        <v>25426.3</v>
      </c>
      <c r="S11" s="7">
        <v>1463</v>
      </c>
      <c r="T11" s="7">
        <v>32375.22</v>
      </c>
      <c r="V11" s="7">
        <v>1280</v>
      </c>
      <c r="W11" s="7">
        <v>31759.9</v>
      </c>
      <c r="Y11" s="7">
        <v>1842</v>
      </c>
      <c r="Z11" s="7">
        <f>44704.2+54.93</f>
        <v>44759.13</v>
      </c>
      <c r="AB11" s="7">
        <f>1887+2</f>
        <v>1889</v>
      </c>
      <c r="AC11" s="7">
        <f>45239.19+124.61</f>
        <v>45363.8</v>
      </c>
      <c r="AE11" s="7">
        <v>2071</v>
      </c>
      <c r="AF11" s="7">
        <f>48411.76+62.7</f>
        <v>48474.46</v>
      </c>
      <c r="AH11" s="7">
        <v>1971</v>
      </c>
      <c r="AI11" s="7">
        <v>44407.35</v>
      </c>
      <c r="AK11" s="7">
        <v>1796</v>
      </c>
      <c r="AL11" s="7">
        <v>40274.33</v>
      </c>
      <c r="AM11" s="7"/>
      <c r="AN11" s="7"/>
    </row>
    <row r="12" spans="2:40" x14ac:dyDescent="0.3">
      <c r="B12" t="s">
        <v>22</v>
      </c>
      <c r="D12" s="7">
        <v>7564</v>
      </c>
      <c r="E12" s="7">
        <v>86170.94</v>
      </c>
      <c r="F12" s="7"/>
      <c r="G12" s="7">
        <v>10169</v>
      </c>
      <c r="H12" s="7">
        <v>114647.21</v>
      </c>
      <c r="I12" s="7"/>
      <c r="J12" s="7">
        <v>13960</v>
      </c>
      <c r="K12" s="7">
        <v>159785.54999999999</v>
      </c>
      <c r="L12" s="7"/>
      <c r="M12" s="7">
        <v>16063</v>
      </c>
      <c r="N12" s="7">
        <v>180220.02</v>
      </c>
      <c r="O12" s="7"/>
      <c r="P12" s="7">
        <v>15522</v>
      </c>
      <c r="Q12" s="7">
        <v>165682.82</v>
      </c>
      <c r="R12" s="7"/>
      <c r="S12" s="9">
        <v>13912</v>
      </c>
      <c r="T12" s="9">
        <v>146566.87</v>
      </c>
      <c r="U12" s="9"/>
      <c r="V12" s="9">
        <v>17596</v>
      </c>
      <c r="W12" s="9">
        <v>186706.35</v>
      </c>
      <c r="X12" s="9"/>
      <c r="Y12" s="9">
        <v>13839</v>
      </c>
      <c r="Z12" s="9">
        <v>145061.03</v>
      </c>
      <c r="AA12" s="9"/>
      <c r="AB12" s="9">
        <v>18797</v>
      </c>
      <c r="AC12" s="9">
        <v>198547.73</v>
      </c>
      <c r="AD12" s="9"/>
      <c r="AE12" s="9">
        <v>14071</v>
      </c>
      <c r="AF12" s="9">
        <v>143717.34000000017</v>
      </c>
      <c r="AG12" s="9"/>
      <c r="AH12" s="7">
        <v>12644</v>
      </c>
      <c r="AI12" s="7">
        <v>135097.01</v>
      </c>
      <c r="AJ12" s="9"/>
      <c r="AK12" s="7">
        <v>15188</v>
      </c>
      <c r="AL12" s="7">
        <v>160642.23000000001</v>
      </c>
      <c r="AM12" s="6"/>
      <c r="AN12" s="6"/>
    </row>
    <row r="13" spans="2:40" x14ac:dyDescent="0.3">
      <c r="B13" s="10">
        <v>2023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2:40" x14ac:dyDescent="0.3">
      <c r="B14" t="s">
        <v>16</v>
      </c>
      <c r="D14" s="7">
        <v>3551</v>
      </c>
      <c r="E14" s="7">
        <v>39457.870000000003</v>
      </c>
      <c r="G14" s="7">
        <v>2671</v>
      </c>
      <c r="H14" s="7">
        <v>29832.49</v>
      </c>
      <c r="J14" s="7">
        <f>271+5581</f>
        <v>5852</v>
      </c>
      <c r="K14" s="7">
        <f>57681.9+2064.36</f>
        <v>59746.26</v>
      </c>
      <c r="M14" s="9">
        <f>44+4512</f>
        <v>4556</v>
      </c>
      <c r="N14" s="9">
        <f>622.16+47957.59</f>
        <v>48579.75</v>
      </c>
      <c r="P14" s="9">
        <f>4756+24</f>
        <v>4780</v>
      </c>
      <c r="Q14" s="9">
        <f>48810.2+291.14</f>
        <v>49101.34</v>
      </c>
      <c r="S14" s="9">
        <f>1+5007</f>
        <v>5008</v>
      </c>
      <c r="T14" s="9">
        <f>50954.01+17.8</f>
        <v>50971.810000000005</v>
      </c>
      <c r="V14" s="7">
        <f>1147+2617</f>
        <v>3764</v>
      </c>
      <c r="W14" s="7">
        <f>26767.9+11292.36</f>
        <v>38060.26</v>
      </c>
      <c r="Y14" s="7">
        <f>232+4488</f>
        <v>4720</v>
      </c>
      <c r="Z14" s="7">
        <f>2185.77+43563.79</f>
        <v>45749.56</v>
      </c>
      <c r="AB14" s="7">
        <f>186+4693</f>
        <v>4879</v>
      </c>
      <c r="AC14" s="7">
        <f>1752.79+44102.92</f>
        <v>45855.71</v>
      </c>
      <c r="AE14" s="9">
        <v>4634</v>
      </c>
      <c r="AF14" s="9">
        <f>45098.36+317.85</f>
        <v>45416.21</v>
      </c>
      <c r="AH14" s="9">
        <v>4581</v>
      </c>
      <c r="AI14" s="9">
        <f>42437.25+204.04</f>
        <v>42641.29</v>
      </c>
      <c r="AK14" s="9">
        <v>4645</v>
      </c>
      <c r="AL14" s="9">
        <v>40711.57</v>
      </c>
      <c r="AM14" s="6"/>
      <c r="AN14" s="6"/>
    </row>
    <row r="15" spans="2:40" x14ac:dyDescent="0.3">
      <c r="B15" t="s">
        <v>17</v>
      </c>
      <c r="D15" s="7">
        <v>1828</v>
      </c>
      <c r="E15" s="7">
        <v>28875.06</v>
      </c>
      <c r="G15" s="7">
        <v>3027</v>
      </c>
      <c r="H15" s="7">
        <v>36283.33</v>
      </c>
      <c r="J15" s="7">
        <f>64+5724</f>
        <v>5788</v>
      </c>
      <c r="K15" s="7">
        <f>67868.84+851.84</f>
        <v>68720.679999999993</v>
      </c>
      <c r="M15" s="9">
        <f>38+4946</f>
        <v>4984</v>
      </c>
      <c r="N15" s="9">
        <f>122.74+56761.57</f>
        <v>56884.31</v>
      </c>
      <c r="P15" s="9">
        <v>4838</v>
      </c>
      <c r="Q15" s="9">
        <v>53024.52</v>
      </c>
      <c r="S15" s="9">
        <f>20+6023</f>
        <v>6043</v>
      </c>
      <c r="T15" s="9">
        <f>68616.88+173.8</f>
        <v>68790.680000000008</v>
      </c>
      <c r="V15" s="7">
        <f>870+2814</f>
        <v>3684</v>
      </c>
      <c r="W15" s="7">
        <f>31822.39+10553.82</f>
        <v>42376.21</v>
      </c>
      <c r="Y15" s="7">
        <f>591+5040</f>
        <v>5631</v>
      </c>
      <c r="Z15" s="7">
        <f>8800.22+55053.74</f>
        <v>63853.96</v>
      </c>
      <c r="AB15" s="7">
        <f>6841+174</f>
        <v>7015</v>
      </c>
      <c r="AC15" s="7">
        <f>73915.32+2156.3</f>
        <v>76071.62000000001</v>
      </c>
      <c r="AE15" s="9">
        <f>4919+12</f>
        <v>4931</v>
      </c>
      <c r="AF15" s="9">
        <f>55094.99+79.56</f>
        <v>55174.549999999996</v>
      </c>
      <c r="AH15" s="9">
        <v>5218</v>
      </c>
      <c r="AI15" s="9">
        <f>60263.5+105.36</f>
        <v>60368.86</v>
      </c>
      <c r="AK15" s="9">
        <f>6377+24</f>
        <v>6401</v>
      </c>
      <c r="AL15" s="9">
        <f>73954.93+221.92</f>
        <v>74176.849999999991</v>
      </c>
      <c r="AM15" s="6"/>
      <c r="AN15" s="6"/>
    </row>
    <row r="16" spans="2:40" x14ac:dyDescent="0.3">
      <c r="B16" t="s">
        <v>18</v>
      </c>
      <c r="D16" s="7">
        <v>4114</v>
      </c>
      <c r="E16" s="7">
        <v>34428.18</v>
      </c>
      <c r="G16" s="7">
        <v>2856</v>
      </c>
      <c r="H16" s="7">
        <v>23721.96</v>
      </c>
      <c r="J16" s="7">
        <f>54+4151</f>
        <v>4205</v>
      </c>
      <c r="K16" s="7">
        <f>37614.75+510.73</f>
        <v>38125.480000000003</v>
      </c>
      <c r="M16" s="9">
        <f>117+3751</f>
        <v>3868</v>
      </c>
      <c r="N16" s="9">
        <f>3048.85+32150.36</f>
        <v>35199.21</v>
      </c>
      <c r="P16" s="9">
        <v>6631</v>
      </c>
      <c r="Q16" s="9">
        <v>132576.68</v>
      </c>
      <c r="S16" s="9">
        <v>4241</v>
      </c>
      <c r="T16" s="9">
        <v>34387.160000000003</v>
      </c>
      <c r="V16" s="7">
        <f>1029+2491</f>
        <v>3520</v>
      </c>
      <c r="W16" s="7">
        <f>18164.03+7762.71</f>
        <v>25926.739999999998</v>
      </c>
      <c r="Y16" s="7">
        <f>694+3880</f>
        <v>4574</v>
      </c>
      <c r="Z16" s="7">
        <f>7928.22+29475.34</f>
        <v>37403.56</v>
      </c>
      <c r="AB16" s="7">
        <f>410+4662</f>
        <v>5072</v>
      </c>
      <c r="AC16" s="7">
        <f>4373.7+33917.92</f>
        <v>38291.619999999995</v>
      </c>
      <c r="AE16" s="9">
        <v>4406</v>
      </c>
      <c r="AF16" s="9">
        <f>33749.74+48.04</f>
        <v>33797.78</v>
      </c>
      <c r="AH16" s="9">
        <v>4530</v>
      </c>
      <c r="AI16" s="9">
        <f>33415.48+127.3</f>
        <v>33542.780000000006</v>
      </c>
      <c r="AK16" s="9">
        <f>4766+1</f>
        <v>4767</v>
      </c>
      <c r="AL16" s="9">
        <f>36293.47+1</f>
        <v>36294.47</v>
      </c>
      <c r="AM16" s="6"/>
      <c r="AN16" s="6"/>
    </row>
    <row r="17" spans="2:40" x14ac:dyDescent="0.3">
      <c r="B17" t="s">
        <v>19</v>
      </c>
      <c r="D17" s="7">
        <v>2108</v>
      </c>
      <c r="E17" s="7">
        <v>26263.15</v>
      </c>
      <c r="G17" s="7">
        <v>2803</v>
      </c>
      <c r="H17" s="7">
        <v>34620.25</v>
      </c>
      <c r="J17" s="7">
        <f>4394+17</f>
        <v>4411</v>
      </c>
      <c r="K17" s="7">
        <f>189.66+51414.22</f>
        <v>51603.880000000005</v>
      </c>
      <c r="M17" s="7">
        <v>3507</v>
      </c>
      <c r="N17" s="7">
        <v>41940.370000000003</v>
      </c>
      <c r="P17" s="7">
        <f>8+4237</f>
        <v>4245</v>
      </c>
      <c r="Q17" s="7">
        <f>53052.7+319.92</f>
        <v>53372.619999999995</v>
      </c>
      <c r="S17" s="7">
        <f>68+4402</f>
        <v>4470</v>
      </c>
      <c r="T17" s="7">
        <f>984.88+52468.84</f>
        <v>53453.719999999994</v>
      </c>
      <c r="V17" s="7">
        <f>798+2373</f>
        <v>3171</v>
      </c>
      <c r="W17" s="7">
        <f>29111.8+9788.09</f>
        <v>38899.89</v>
      </c>
      <c r="Y17" s="7">
        <f>29+2745</f>
        <v>2774</v>
      </c>
      <c r="Z17" s="7">
        <f>645.07+31029.27</f>
        <v>31674.34</v>
      </c>
      <c r="AB17" s="7">
        <f>5807+121</f>
        <v>5928</v>
      </c>
      <c r="AC17" s="7">
        <f>63982.58+1455.94</f>
        <v>65438.520000000004</v>
      </c>
      <c r="AE17" s="7">
        <f>4479+32</f>
        <v>4511</v>
      </c>
      <c r="AF17" s="7">
        <f>46262.63+252.53</f>
        <v>46515.159999999996</v>
      </c>
      <c r="AH17" s="7">
        <v>4231</v>
      </c>
      <c r="AI17" s="7">
        <f>49635.55+226.93</f>
        <v>49862.48</v>
      </c>
      <c r="AK17" s="7">
        <f>5153+2</f>
        <v>5155</v>
      </c>
      <c r="AL17" s="7">
        <f>58392.66+75.2</f>
        <v>58467.86</v>
      </c>
      <c r="AM17" s="6"/>
      <c r="AN17" s="6"/>
    </row>
    <row r="18" spans="2:40" x14ac:dyDescent="0.3">
      <c r="B18" t="s">
        <v>20</v>
      </c>
      <c r="D18" s="7">
        <v>16882</v>
      </c>
      <c r="E18" s="7">
        <v>173502.8</v>
      </c>
      <c r="G18" s="7">
        <v>15813</v>
      </c>
      <c r="H18" s="7">
        <v>165767.21</v>
      </c>
      <c r="J18" s="7">
        <v>18753</v>
      </c>
      <c r="K18" s="7">
        <v>198878.02</v>
      </c>
      <c r="M18" s="7">
        <v>18126</v>
      </c>
      <c r="N18" s="7">
        <v>197638.69</v>
      </c>
      <c r="P18" s="8">
        <v>19285</v>
      </c>
      <c r="Q18" s="8">
        <v>204996.91</v>
      </c>
      <c r="S18" s="7">
        <v>18480</v>
      </c>
      <c r="T18" s="7">
        <v>196108.07</v>
      </c>
      <c r="V18" s="7">
        <v>15775</v>
      </c>
      <c r="W18" s="7">
        <v>169804.44</v>
      </c>
      <c r="Y18" s="7">
        <v>17511</v>
      </c>
      <c r="Z18" s="7">
        <v>188621.76</v>
      </c>
      <c r="AB18" s="7">
        <v>15744</v>
      </c>
      <c r="AC18" s="7">
        <v>172650.72</v>
      </c>
      <c r="AE18" s="7">
        <v>17825</v>
      </c>
      <c r="AF18" s="7">
        <v>191277.07</v>
      </c>
      <c r="AH18" s="7">
        <v>14879</v>
      </c>
      <c r="AI18" s="7">
        <v>157471.78</v>
      </c>
      <c r="AK18" s="7">
        <v>12813</v>
      </c>
      <c r="AL18" s="7">
        <v>132247.03</v>
      </c>
      <c r="AM18" s="7"/>
      <c r="AN18" s="7"/>
    </row>
    <row r="19" spans="2:40" x14ac:dyDescent="0.3">
      <c r="B19" t="s">
        <v>21</v>
      </c>
      <c r="D19" s="7">
        <v>1624</v>
      </c>
      <c r="E19" s="7">
        <v>39106.019999999997</v>
      </c>
      <c r="G19" s="7">
        <v>1540</v>
      </c>
      <c r="H19" s="7">
        <v>36972.61</v>
      </c>
      <c r="J19" s="7">
        <v>1264</v>
      </c>
      <c r="K19" s="7">
        <v>27521.57</v>
      </c>
      <c r="M19" s="7">
        <v>2256</v>
      </c>
      <c r="N19" s="7">
        <v>43377.67</v>
      </c>
      <c r="P19" s="7">
        <v>2142</v>
      </c>
      <c r="Q19" s="7">
        <v>42483.98</v>
      </c>
      <c r="S19" s="7">
        <v>1979</v>
      </c>
      <c r="T19" s="7">
        <v>40632.550000000003</v>
      </c>
      <c r="V19" s="7">
        <v>1561</v>
      </c>
      <c r="W19" s="7">
        <v>35793.99</v>
      </c>
      <c r="Y19" s="7">
        <v>2025</v>
      </c>
      <c r="Z19" s="7">
        <v>44170</v>
      </c>
      <c r="AB19" s="7">
        <v>1793</v>
      </c>
      <c r="AC19" s="7">
        <v>35971.81</v>
      </c>
      <c r="AE19" s="7">
        <v>2034</v>
      </c>
      <c r="AF19" s="7">
        <v>40091.440000000002</v>
      </c>
      <c r="AH19" s="7">
        <v>1774</v>
      </c>
      <c r="AI19" s="7">
        <v>34674.99</v>
      </c>
      <c r="AK19" s="7">
        <v>1488</v>
      </c>
      <c r="AL19" s="7">
        <v>29058.41</v>
      </c>
      <c r="AM19" s="7"/>
      <c r="AN19" s="7"/>
    </row>
    <row r="20" spans="2:40" x14ac:dyDescent="0.3">
      <c r="B20" t="s">
        <v>22</v>
      </c>
      <c r="D20" s="7">
        <v>10151</v>
      </c>
      <c r="E20" s="7">
        <v>106914.29</v>
      </c>
      <c r="G20" s="7">
        <v>12031</v>
      </c>
      <c r="H20" s="7">
        <v>125076.52</v>
      </c>
      <c r="J20" s="7">
        <f>105+17051+13</f>
        <v>17169</v>
      </c>
      <c r="K20" s="7">
        <f>179406.86+104.39+1158.53</f>
        <v>180669.78</v>
      </c>
      <c r="M20" s="9">
        <f>16+13628+8</f>
        <v>13652</v>
      </c>
      <c r="N20" s="9">
        <f>169.44+142654.49+64.24</f>
        <v>142888.16999999998</v>
      </c>
      <c r="P20" s="9">
        <f>7+14822</f>
        <v>14829</v>
      </c>
      <c r="Q20" s="9">
        <f>155492.77+197.49</f>
        <v>155690.25999999998</v>
      </c>
      <c r="S20" s="9">
        <f>17563+43</f>
        <v>17606</v>
      </c>
      <c r="T20" s="9">
        <f>624.01+183934.32</f>
        <v>184558.33000000002</v>
      </c>
      <c r="V20" s="7">
        <f>7249+5267</f>
        <v>12516</v>
      </c>
      <c r="W20" s="7">
        <f>74974.5+54755.42</f>
        <v>129729.92</v>
      </c>
      <c r="Y20" s="7">
        <f>13609+487</f>
        <v>14096</v>
      </c>
      <c r="Z20" s="7">
        <f>146542.3+6981.48</f>
        <v>153523.78</v>
      </c>
      <c r="AB20" s="7">
        <f>16446+148</f>
        <v>16594</v>
      </c>
      <c r="AC20" s="7">
        <f>171914.72+1078.11</f>
        <v>172992.83</v>
      </c>
      <c r="AE20" s="9">
        <f>14331+141</f>
        <v>14472</v>
      </c>
      <c r="AF20" s="9">
        <f>152249.49+1083.38</f>
        <v>153332.87</v>
      </c>
      <c r="AH20" s="9">
        <v>14255</v>
      </c>
      <c r="AI20" s="9">
        <f>151958.9+73.53</f>
        <v>152032.43</v>
      </c>
      <c r="AK20" s="9">
        <f>15152+4</f>
        <v>15156</v>
      </c>
      <c r="AL20" s="9">
        <f>160149.91+58.82</f>
        <v>160208.73000000001</v>
      </c>
      <c r="AM20" s="7"/>
      <c r="AN20" s="7"/>
    </row>
    <row r="21" spans="2:40" x14ac:dyDescent="0.3">
      <c r="B21" s="10">
        <v>2024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2:40" x14ac:dyDescent="0.3">
      <c r="B22" t="s">
        <v>16</v>
      </c>
      <c r="D22" s="9">
        <f>2167+564</f>
        <v>2731</v>
      </c>
      <c r="E22" s="9">
        <f>4571.25+19293.65</f>
        <v>23864.9</v>
      </c>
      <c r="G22" s="9">
        <f>339+3723</f>
        <v>4062</v>
      </c>
      <c r="H22" s="9">
        <f>3489.47+34138.49</f>
        <v>37627.96</v>
      </c>
      <c r="J22" s="9">
        <f>88+5069</f>
        <v>5157</v>
      </c>
      <c r="K22" s="9">
        <f>1319.14+47406.75</f>
        <v>48725.89</v>
      </c>
      <c r="M22" s="9">
        <f>27+4401</f>
        <v>4428</v>
      </c>
      <c r="N22" s="9">
        <f>270.43+41020.83</f>
        <v>41291.26</v>
      </c>
      <c r="P22" s="9">
        <v>5754</v>
      </c>
      <c r="Q22" s="9">
        <v>51460.34</v>
      </c>
      <c r="S22" s="9">
        <v>4990</v>
      </c>
      <c r="T22" s="9">
        <v>43400.99</v>
      </c>
      <c r="V22" s="7">
        <f>4409+417</f>
        <v>4826</v>
      </c>
      <c r="W22" s="7">
        <f>39930.79+3806.36</f>
        <v>43737.15</v>
      </c>
      <c r="Y22" s="7">
        <v>6006</v>
      </c>
      <c r="Z22" s="7">
        <v>58139.98</v>
      </c>
      <c r="AB22" s="7">
        <v>4272</v>
      </c>
      <c r="AC22" s="7">
        <v>39852.959999999999</v>
      </c>
      <c r="AE22" s="9">
        <v>4240</v>
      </c>
      <c r="AF22" s="9">
        <v>42572.01</v>
      </c>
      <c r="AH22" s="9">
        <f>6185+54</f>
        <v>6239</v>
      </c>
      <c r="AI22" s="9">
        <f>64218.54+1239.17</f>
        <v>65457.71</v>
      </c>
      <c r="AK22" s="9">
        <v>4487</v>
      </c>
      <c r="AL22" s="9">
        <v>43773.18</v>
      </c>
      <c r="AM22" s="6"/>
      <c r="AN22" s="6"/>
    </row>
    <row r="23" spans="2:40" x14ac:dyDescent="0.3">
      <c r="B23" t="s">
        <v>17</v>
      </c>
      <c r="D23" s="9">
        <f>1+1554+1046</f>
        <v>2601</v>
      </c>
      <c r="E23" s="9">
        <f>18239.13+10906.54+4.96</f>
        <v>29150.63</v>
      </c>
      <c r="G23" s="9">
        <f>4876+182</f>
        <v>5058</v>
      </c>
      <c r="H23" s="9">
        <f>53900.02+3214.91</f>
        <v>57114.929999999993</v>
      </c>
      <c r="J23" s="9">
        <f>28+7099</f>
        <v>7127</v>
      </c>
      <c r="K23" s="9">
        <f>443.43+79921.93</f>
        <v>80365.359999999986</v>
      </c>
      <c r="M23" s="9">
        <f>5964+24</f>
        <v>5988</v>
      </c>
      <c r="N23" s="9">
        <f>67063.78+597.84</f>
        <v>67661.62</v>
      </c>
      <c r="P23" s="9">
        <f>7671+1</f>
        <v>7672</v>
      </c>
      <c r="Q23" s="9">
        <f>6.69+83805.97</f>
        <v>83812.66</v>
      </c>
      <c r="S23" s="9">
        <v>6476</v>
      </c>
      <c r="T23" s="9">
        <v>69682.41</v>
      </c>
      <c r="V23" s="7">
        <f>5114+1520</f>
        <v>6634</v>
      </c>
      <c r="W23" s="7">
        <f>57202.73+17168.91</f>
        <v>74371.64</v>
      </c>
      <c r="Y23" s="7">
        <v>8286</v>
      </c>
      <c r="Z23" s="7">
        <v>94324.51</v>
      </c>
      <c r="AB23" s="7">
        <v>6107</v>
      </c>
      <c r="AC23" s="7">
        <v>68201.179999999993</v>
      </c>
      <c r="AE23" s="9">
        <v>6564</v>
      </c>
      <c r="AF23" s="9">
        <v>75734.55</v>
      </c>
      <c r="AH23" s="9">
        <v>9144</v>
      </c>
      <c r="AI23" s="9">
        <v>103857.79</v>
      </c>
      <c r="AK23" s="9">
        <v>7130</v>
      </c>
      <c r="AL23" s="9">
        <v>76334.95</v>
      </c>
      <c r="AM23" s="6"/>
      <c r="AN23" s="6"/>
    </row>
    <row r="24" spans="2:40" x14ac:dyDescent="0.3">
      <c r="B24" t="s">
        <v>18</v>
      </c>
      <c r="D24" s="9">
        <f>2+1580+690</f>
        <v>2272</v>
      </c>
      <c r="E24" s="9">
        <f>5021.59+11801.72+30.46</f>
        <v>16853.769999999997</v>
      </c>
      <c r="G24" s="9">
        <f>270+3639</f>
        <v>3909</v>
      </c>
      <c r="H24" s="9">
        <f>1891.92+24343.89+5.78</f>
        <v>26241.589999999997</v>
      </c>
      <c r="J24" s="9">
        <v>5127</v>
      </c>
      <c r="K24" s="9">
        <v>37932.49</v>
      </c>
      <c r="M24" s="9">
        <v>4515</v>
      </c>
      <c r="N24" s="9">
        <v>33677.879999999997</v>
      </c>
      <c r="P24" s="9">
        <f>1+6053</f>
        <v>6054</v>
      </c>
      <c r="Q24" s="9">
        <f>0.71+45064.71</f>
        <v>45065.42</v>
      </c>
      <c r="S24" s="9">
        <v>4178</v>
      </c>
      <c r="T24" s="9">
        <v>30048.15</v>
      </c>
      <c r="V24" s="7">
        <f>4350+529</f>
        <v>4879</v>
      </c>
      <c r="W24" s="7">
        <f>33738.68+4880.72</f>
        <v>38619.4</v>
      </c>
      <c r="Y24" s="7">
        <v>5315</v>
      </c>
      <c r="Z24" s="7">
        <v>45188.65</v>
      </c>
      <c r="AB24" s="7">
        <v>3889</v>
      </c>
      <c r="AC24" s="7">
        <v>28892.32</v>
      </c>
      <c r="AE24" s="9">
        <v>5030</v>
      </c>
      <c r="AF24" s="9">
        <v>38652.639999999999</v>
      </c>
      <c r="AH24" s="9">
        <v>6223</v>
      </c>
      <c r="AI24" s="9">
        <v>49199.96</v>
      </c>
      <c r="AK24" s="9">
        <v>4033</v>
      </c>
      <c r="AL24" s="9">
        <v>31262.53</v>
      </c>
      <c r="AM24" s="6"/>
      <c r="AN24" s="6"/>
    </row>
    <row r="25" spans="2:40" x14ac:dyDescent="0.3">
      <c r="B25" t="s">
        <v>19</v>
      </c>
      <c r="D25" s="7">
        <f>1360+303+1</f>
        <v>1664</v>
      </c>
      <c r="E25" s="7">
        <f>24.36+14221.02+3498.33</f>
        <v>17743.71</v>
      </c>
      <c r="G25" s="7">
        <f>132+3405</f>
        <v>3537</v>
      </c>
      <c r="H25" s="7">
        <f>36493.84+1405.25</f>
        <v>37899.089999999997</v>
      </c>
      <c r="J25" s="7">
        <f>5383+38</f>
        <v>5421</v>
      </c>
      <c r="K25" s="7">
        <f>61829.29+417.01</f>
        <v>62246.3</v>
      </c>
      <c r="M25" s="7">
        <f>8+3862</f>
        <v>3870</v>
      </c>
      <c r="N25" s="7">
        <f>127.04+42009.53</f>
        <v>42136.57</v>
      </c>
      <c r="P25" s="7">
        <f>18+4669</f>
        <v>4687</v>
      </c>
      <c r="Q25" s="7">
        <f>50422.35+255.06</f>
        <v>50677.409999999996</v>
      </c>
      <c r="S25" s="7">
        <f>10+4423</f>
        <v>4433</v>
      </c>
      <c r="T25" s="7">
        <f>48719.93+253.35</f>
        <v>48973.279999999999</v>
      </c>
      <c r="V25" s="7">
        <f>289+3838</f>
        <v>4127</v>
      </c>
      <c r="W25" s="7">
        <f>46000.97+38157.39</f>
        <v>84158.36</v>
      </c>
      <c r="Y25" s="7">
        <v>4988</v>
      </c>
      <c r="Z25" s="7">
        <v>48275.67</v>
      </c>
      <c r="AB25" s="7">
        <v>6462</v>
      </c>
      <c r="AC25" s="7">
        <v>65670.94</v>
      </c>
      <c r="AE25" s="7">
        <v>8292</v>
      </c>
      <c r="AF25" s="7">
        <v>83511.16</v>
      </c>
      <c r="AH25" s="7">
        <v>10121</v>
      </c>
      <c r="AI25" s="7">
        <v>106009.55</v>
      </c>
      <c r="AK25" s="7">
        <v>6879</v>
      </c>
      <c r="AL25" s="7">
        <v>69319.05</v>
      </c>
      <c r="AM25" s="6"/>
      <c r="AN25" s="6"/>
    </row>
    <row r="26" spans="2:40" x14ac:dyDescent="0.3">
      <c r="B26" t="s">
        <v>20</v>
      </c>
      <c r="D26" s="7">
        <v>11329</v>
      </c>
      <c r="E26" s="7">
        <v>117966.27</v>
      </c>
      <c r="G26" s="7">
        <v>17485</v>
      </c>
      <c r="H26" s="7">
        <v>173133</v>
      </c>
      <c r="J26" s="7">
        <v>17168</v>
      </c>
      <c r="K26" s="7">
        <v>177054.99</v>
      </c>
      <c r="M26" s="7">
        <v>18533</v>
      </c>
      <c r="N26" s="7">
        <v>193342.36</v>
      </c>
      <c r="P26" s="7">
        <v>19172</v>
      </c>
      <c r="Q26" s="7">
        <v>194267.07</v>
      </c>
      <c r="S26" s="8">
        <v>17007</v>
      </c>
      <c r="T26" s="8">
        <v>168513.82</v>
      </c>
      <c r="V26" s="7">
        <v>18928</v>
      </c>
      <c r="W26" s="7">
        <v>188449.19</v>
      </c>
      <c r="Y26" s="7">
        <v>14390</v>
      </c>
      <c r="Z26" s="7">
        <v>149557.38</v>
      </c>
      <c r="AB26" s="7">
        <v>15794</v>
      </c>
      <c r="AC26" s="7">
        <v>159954.45000000001</v>
      </c>
      <c r="AE26" s="7">
        <v>18767</v>
      </c>
      <c r="AF26" s="7">
        <v>193458.22</v>
      </c>
      <c r="AH26" s="7">
        <v>14756</v>
      </c>
      <c r="AI26" s="7">
        <v>152691.23000000001</v>
      </c>
      <c r="AK26" s="7">
        <f>12862+24</f>
        <v>12886</v>
      </c>
      <c r="AL26" s="7">
        <f>134341.7+872.64</f>
        <v>135214.34000000003</v>
      </c>
      <c r="AM26" s="7"/>
      <c r="AN26" s="7"/>
    </row>
    <row r="27" spans="2:40" x14ac:dyDescent="0.3">
      <c r="B27" t="s">
        <v>21</v>
      </c>
      <c r="D27" s="7">
        <v>1438</v>
      </c>
      <c r="E27" s="7">
        <v>27225.33</v>
      </c>
      <c r="G27" s="7">
        <v>1984</v>
      </c>
      <c r="H27" s="7">
        <v>37794.720000000001</v>
      </c>
      <c r="J27" s="7">
        <v>2135</v>
      </c>
      <c r="K27" s="7">
        <v>40647.03</v>
      </c>
      <c r="M27" s="7">
        <v>2511</v>
      </c>
      <c r="N27" s="7">
        <v>45450.09</v>
      </c>
      <c r="P27" s="7">
        <v>2767</v>
      </c>
      <c r="Q27" s="7">
        <v>47004.66</v>
      </c>
      <c r="S27" s="7">
        <v>2523</v>
      </c>
      <c r="T27" s="7">
        <v>45118.75</v>
      </c>
      <c r="V27" s="7">
        <v>3215</v>
      </c>
      <c r="W27" s="7">
        <v>53075.91</v>
      </c>
      <c r="Y27" s="7">
        <v>2842</v>
      </c>
      <c r="Z27" s="7">
        <v>52755.55</v>
      </c>
      <c r="AB27" s="7">
        <f>3044+338</f>
        <v>3382</v>
      </c>
      <c r="AC27" s="7">
        <f>54229.92+5094.14</f>
        <v>59324.06</v>
      </c>
      <c r="AE27" s="7">
        <v>3548</v>
      </c>
      <c r="AF27" s="7">
        <v>63850.55</v>
      </c>
      <c r="AH27" s="7">
        <v>2739</v>
      </c>
      <c r="AI27" s="7">
        <v>49213.48</v>
      </c>
      <c r="AK27" s="7">
        <v>2588</v>
      </c>
      <c r="AL27" s="7">
        <v>44668.38</v>
      </c>
      <c r="AM27" s="7"/>
      <c r="AN27" s="7"/>
    </row>
    <row r="28" spans="2:40" x14ac:dyDescent="0.3">
      <c r="B28" t="s">
        <v>22</v>
      </c>
      <c r="D28" s="9">
        <f>6139+2184</f>
        <v>8323</v>
      </c>
      <c r="E28" s="9">
        <f>24617.09+64294.12</f>
        <v>88911.21</v>
      </c>
      <c r="G28" s="9">
        <f>755+11086+2</f>
        <v>11843</v>
      </c>
      <c r="H28" s="9">
        <f>7811.85+116348.54+55.42</f>
        <v>124215.81</v>
      </c>
      <c r="J28" s="7">
        <f>89+17933+8</f>
        <v>18030</v>
      </c>
      <c r="K28" s="7">
        <f>858.53+186789.94+122.56</f>
        <v>187771.03</v>
      </c>
      <c r="M28" s="9">
        <v>14654</v>
      </c>
      <c r="N28" s="9">
        <v>150141.01</v>
      </c>
      <c r="P28" s="9">
        <f>15824+8+9</f>
        <v>15841</v>
      </c>
      <c r="Q28" s="9">
        <f>173151.02+147.34+194.47</f>
        <v>173492.83</v>
      </c>
      <c r="S28" s="9">
        <f>24+14950</f>
        <v>14974</v>
      </c>
      <c r="T28" s="9">
        <f>198.12+153149.67</f>
        <v>153347.79</v>
      </c>
      <c r="V28" s="7">
        <f>13405+2+1317</f>
        <v>14724</v>
      </c>
      <c r="W28" s="7">
        <f>136535.59+5.86+15028.38</f>
        <v>151569.82999999999</v>
      </c>
      <c r="Y28" s="7">
        <v>18975</v>
      </c>
      <c r="Z28" s="7">
        <v>191924.4</v>
      </c>
      <c r="AB28" s="7">
        <v>15102</v>
      </c>
      <c r="AC28" s="7">
        <v>154063.10999999999</v>
      </c>
      <c r="AE28" s="9">
        <v>20237</v>
      </c>
      <c r="AF28" s="9">
        <v>197694.21</v>
      </c>
      <c r="AH28" s="9">
        <v>21921</v>
      </c>
      <c r="AI28" s="9">
        <v>220944.79</v>
      </c>
      <c r="AK28" s="9">
        <v>15205</v>
      </c>
      <c r="AL28" s="9">
        <v>151099.92000000001</v>
      </c>
    </row>
    <row r="29" spans="2:40" x14ac:dyDescent="0.3">
      <c r="B29" s="1"/>
      <c r="D29" s="7"/>
      <c r="E29" s="7"/>
      <c r="G29" s="7"/>
      <c r="H29" s="7"/>
      <c r="J29" s="7"/>
      <c r="K29" s="7"/>
      <c r="M29" s="7"/>
      <c r="N29" s="7"/>
      <c r="P29" s="7"/>
      <c r="Q29" s="7"/>
      <c r="S29" s="7"/>
      <c r="T29" s="7"/>
      <c r="V29" s="7"/>
      <c r="W29" s="7"/>
      <c r="Y29" s="7"/>
      <c r="Z29" s="7"/>
      <c r="AB29" s="7"/>
      <c r="AC29" s="7"/>
      <c r="AE29" s="7"/>
      <c r="AF29" s="7"/>
      <c r="AH29" s="7"/>
      <c r="AI29" s="7"/>
      <c r="AK29" s="7"/>
      <c r="AL29" s="7"/>
      <c r="AM29" s="7"/>
      <c r="AN29" s="7"/>
    </row>
    <row r="30" spans="2:40" x14ac:dyDescent="0.3">
      <c r="B30" s="1"/>
      <c r="D30" s="7"/>
      <c r="E30" s="7"/>
      <c r="G30" s="7"/>
      <c r="H30" s="7"/>
      <c r="J30" s="7"/>
      <c r="K30" s="7"/>
      <c r="M30" s="7"/>
      <c r="N30" s="7"/>
      <c r="P30" s="7"/>
      <c r="Q30" s="7"/>
      <c r="S30" s="7"/>
      <c r="T30" s="7"/>
      <c r="V30" s="7"/>
      <c r="W30" s="7"/>
      <c r="Y30" s="7"/>
      <c r="Z30" s="7"/>
      <c r="AB30" s="7"/>
      <c r="AC30" s="7"/>
      <c r="AE30" s="7"/>
      <c r="AF30" s="7"/>
      <c r="AH30" s="7"/>
      <c r="AI30" s="7"/>
      <c r="AK30" s="7"/>
      <c r="AL30" s="7"/>
      <c r="AM30" s="7"/>
      <c r="AN30" s="7"/>
    </row>
  </sheetData>
  <mergeCells count="12">
    <mergeCell ref="AK3:AL3"/>
    <mergeCell ref="S3:T3"/>
    <mergeCell ref="V3:W3"/>
    <mergeCell ref="Y3:Z3"/>
    <mergeCell ref="AB3:AC3"/>
    <mergeCell ref="AE3:AF3"/>
    <mergeCell ref="AH3:AI3"/>
    <mergeCell ref="D3:E3"/>
    <mergeCell ref="G3:H3"/>
    <mergeCell ref="J3:K3"/>
    <mergeCell ref="M3:N3"/>
    <mergeCell ref="P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610D83539A4AACB95F2A636E376C" ma:contentTypeVersion="13" ma:contentTypeDescription="Create a new document." ma:contentTypeScope="" ma:versionID="0ba6965b49cfba460855e6ee5312c6a6">
  <xsd:schema xmlns:xsd="http://www.w3.org/2001/XMLSchema" xmlns:xs="http://www.w3.org/2001/XMLSchema" xmlns:p="http://schemas.microsoft.com/office/2006/metadata/properties" xmlns:ns2="ec93c5ad-c239-4f98-ba9c-8792b34d284d" xmlns:ns3="34354bcd-9f19-49ff-be41-0a8edec883ce" targetNamespace="http://schemas.microsoft.com/office/2006/metadata/properties" ma:root="true" ma:fieldsID="61b6bf4decb29928b3096fcac1d33b01" ns2:_="" ns3:_="">
    <xsd:import namespace="ec93c5ad-c239-4f98-ba9c-8792b34d284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3c5ad-c239-4f98-ba9c-8792b34d2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3358760-6bd2-4d07-a004-50af683bcf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069d251-8990-42e2-aa75-31a26b63ba0a}" ma:internalName="TaxCatchAll" ma:showField="CatchAllData" ma:web="34354bcd-9f19-49ff-be41-0a8edec88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93c5ad-c239-4f98-ba9c-8792b34d284d">
      <Terms xmlns="http://schemas.microsoft.com/office/infopath/2007/PartnerControls"/>
    </lcf76f155ced4ddcb4097134ff3c332f>
    <TaxCatchAll xmlns="34354bcd-9f19-49ff-be41-0a8edec883ce" xsi:nil="true"/>
  </documentManagement>
</p:properties>
</file>

<file path=customXml/itemProps1.xml><?xml version="1.0" encoding="utf-8"?>
<ds:datastoreItem xmlns:ds="http://schemas.openxmlformats.org/officeDocument/2006/customXml" ds:itemID="{3713AE7A-7CEE-4FFA-BEE1-5C93FCE36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3c5ad-c239-4f98-ba9c-8792b34d284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BAC7BE-6069-4AA8-854E-9AB059A4F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A2191-C349-4F26-AC53-AABC75C6E79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ec93c5ad-c239-4f98-ba9c-8792b34d284d"/>
    <ds:schemaRef ds:uri="http://schemas.microsoft.com/office/infopath/2007/PartnerControls"/>
    <ds:schemaRef ds:uri="http://schemas.openxmlformats.org/package/2006/metadata/core-properties"/>
    <ds:schemaRef ds:uri="34354bcd-9f19-49ff-be41-0a8edec883c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Graham Rodery</dc:creator>
  <cp:keywords/>
  <dc:description/>
  <cp:lastModifiedBy>Karrie Goodnight</cp:lastModifiedBy>
  <cp:revision/>
  <dcterms:created xsi:type="dcterms:W3CDTF">2025-05-16T15:07:04Z</dcterms:created>
  <dcterms:modified xsi:type="dcterms:W3CDTF">2025-05-20T18:38:11Z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0x0101002ED7610D83539A4AACB95F2A636E376C</vt:lpwstr>
  </property>
  <property fmtid="{D5CDD505-2E9C-101B-9397-08002B2CF9AE}" pid="3" name="MediaServiceImageTags">
    <vt:lpwstr/>
  </property>
</Properties>
</file>